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jasmille\Desktop\cable\DOCSIS 3.x\"/>
    </mc:Choice>
  </mc:AlternateContent>
  <xr:revisionPtr revIDLastSave="0" documentId="13_ncr:1_{FB1F483B-DF2A-416C-B545-B909D0D3D370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Downstream Speed Estimate" sheetId="1" r:id="rId1"/>
    <sheet name="Upstream Speed Estimate" sheetId="4" r:id="rId2"/>
    <sheet name="DS Valid Options" sheetId="2" r:id="rId3"/>
    <sheet name="US Valid Options" sheetId="5" r:id="rId4"/>
  </sheets>
  <definedNames>
    <definedName name="Cyclic_Prefix_values" localSheetId="1">'Upstream Speed Estimate'!$G$29:$G$30</definedName>
    <definedName name="Cyclic_Prefix_values" localSheetId="3">'Upstream Speed Estimate'!$G$29:$G$30</definedName>
    <definedName name="Cyclic_Prefix_values">'Downstream Speed Estimate'!$G$22:$G$27</definedName>
    <definedName name="Roll_off_values" localSheetId="1">'Upstream Speed Estimate'!#REF!</definedName>
    <definedName name="Roll_off_values" localSheetId="3">'Upstream Speed Estimate'!#REF!</definedName>
    <definedName name="Roll_off_values">'Downstream Speed Estimate'!$H$22:$H$27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B12" i="1"/>
  <c r="C22" i="4"/>
  <c r="B10" i="4"/>
  <c r="B17" i="4"/>
  <c r="C10" i="4"/>
  <c r="C17" i="4"/>
  <c r="B13" i="4"/>
  <c r="C13" i="4"/>
  <c r="B14" i="4"/>
  <c r="C14" i="4"/>
  <c r="B20" i="4"/>
  <c r="C20" i="4"/>
  <c r="B22" i="4"/>
  <c r="B23" i="4"/>
  <c r="C23" i="4"/>
  <c r="B24" i="4"/>
  <c r="C24" i="4"/>
  <c r="B25" i="4"/>
  <c r="C25" i="4"/>
  <c r="B29" i="4"/>
  <c r="C27" i="4"/>
  <c r="C26" i="4"/>
  <c r="B26" i="4"/>
  <c r="B27" i="4"/>
  <c r="C30" i="4"/>
  <c r="C19" i="4"/>
  <c r="B30" i="4"/>
  <c r="B19" i="4"/>
  <c r="C29" i="4"/>
  <c r="C34" i="4"/>
  <c r="C35" i="4"/>
  <c r="C36" i="4"/>
  <c r="B34" i="4"/>
  <c r="B35" i="4"/>
  <c r="B36" i="4"/>
  <c r="C16" i="1"/>
  <c r="B16" i="1"/>
  <c r="C21" i="1"/>
  <c r="B21" i="1"/>
  <c r="C20" i="1"/>
  <c r="B20" i="1"/>
  <c r="C13" i="1"/>
  <c r="B13" i="1"/>
  <c r="C10" i="1"/>
  <c r="B10" i="1"/>
  <c r="B17" i="1"/>
  <c r="C17" i="1"/>
  <c r="C23" i="1"/>
  <c r="C24" i="1"/>
  <c r="B23" i="1"/>
  <c r="B24" i="1"/>
</calcChain>
</file>

<file path=xl/sharedStrings.xml><?xml version="1.0" encoding="utf-8"?>
<sst xmlns="http://schemas.openxmlformats.org/spreadsheetml/2006/main" count="190" uniqueCount="107">
  <si>
    <t>MHz</t>
  </si>
  <si>
    <t>FFT size (4K or 8K FFT)</t>
  </si>
  <si>
    <t>subcarriers</t>
  </si>
  <si>
    <t>Subcarrier spacing</t>
  </si>
  <si>
    <t>kHz</t>
  </si>
  <si>
    <t>BPSK</t>
  </si>
  <si>
    <t>16-QAM</t>
  </si>
  <si>
    <t>32-QAM</t>
  </si>
  <si>
    <t>128-QAM</t>
  </si>
  <si>
    <t>Number of active subcarriers</t>
  </si>
  <si>
    <t>64-QAM</t>
  </si>
  <si>
    <t>PLC overhead (number of subcarriers)</t>
  </si>
  <si>
    <t>256-QAM</t>
  </si>
  <si>
    <t>Continuous Pilot Scaling (48 - 120 subcarriers)</t>
  </si>
  <si>
    <t>512-QAM</t>
  </si>
  <si>
    <t>Continuous Pilots (include pilots for PLC)</t>
  </si>
  <si>
    <t>1024-QAM</t>
  </si>
  <si>
    <t>Scattered Pilots (estimate)</t>
  </si>
  <si>
    <t>2048-QAM</t>
  </si>
  <si>
    <t>4096-QAM</t>
  </si>
  <si>
    <t>QAM order of NCP (QPSK, 16QAM, 64QAM)</t>
  </si>
  <si>
    <t>bits / sym</t>
  </si>
  <si>
    <t>8192-QAM</t>
  </si>
  <si>
    <t>NCP overhead (including CRC)</t>
  </si>
  <si>
    <t>16384-QAM</t>
  </si>
  <si>
    <t>FEC overhead</t>
  </si>
  <si>
    <t>8/9 code</t>
  </si>
  <si>
    <t>Data QAM order (bits per symbol)</t>
  </si>
  <si>
    <t>Data Rate (Mbps)</t>
  </si>
  <si>
    <t>Mbps</t>
  </si>
  <si>
    <t>Modulation Order</t>
  </si>
  <si>
    <t>Bits per Symbol</t>
  </si>
  <si>
    <r>
      <t>Size of channels (MHz) - 24-192 MHz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</si>
  <si>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samples</t>
    </r>
    <r>
      <rPr>
        <vertAlign val="superscript"/>
        <sz val="11"/>
        <color indexed="8"/>
        <rFont val="Calibri"/>
        <family val="2"/>
      </rPr>
      <t>2</t>
    </r>
  </si>
  <si>
    <r>
      <t>Guard band on upper and lower edge (MHz)</t>
    </r>
    <r>
      <rPr>
        <vertAlign val="superscript"/>
        <sz val="11"/>
        <color theme="1"/>
        <rFont val="Calibri"/>
        <family val="2"/>
        <scheme val="minor"/>
      </rPr>
      <t>3</t>
    </r>
  </si>
  <si>
    <t>Overhead % based on active subcarriers</t>
  </si>
  <si>
    <t>Cyclic prefix (Ncp)</t>
  </si>
  <si>
    <t>Ncp overhead</t>
  </si>
  <si>
    <t>Num of NCP - must be &gt;0 (estimate)</t>
  </si>
  <si>
    <t>Table V–1 - CMTS Proposed Configuration Parameters</t>
  </si>
  <si>
    <t>Note: data rates estimates in row 23 only factor out DOCSIS PHY overhead - not MAC or IP overhead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</si>
  <si>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sampling rate is 204.8 MHz (based on OFDM spectrum - FFT size x subcarrier width)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</si>
  <si>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If using exclusion bands, redunce channel size by amount of spectrum excluded for data rate</t>
    </r>
  </si>
  <si>
    <t>Roll-off (Nrp) - must be less than Ncp</t>
  </si>
  <si>
    <t>Cyclic Prefix values</t>
  </si>
  <si>
    <t>Roll off values</t>
  </si>
  <si>
    <t>Valid Configurations</t>
  </si>
  <si>
    <t>8-QAM</t>
  </si>
  <si>
    <t>QPSK</t>
  </si>
  <si>
    <t>NCP Modulation</t>
  </si>
  <si>
    <r>
      <rPr>
        <vertAlign val="superscript"/>
        <sz val="9"/>
        <color theme="1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>K values must fall in range from table on right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</si>
  <si>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sampling rate is 102.4 MHz (based on OFDM spectrum - FFT size x subcarrier width)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</si>
  <si>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Valid channel sizes 11 - 96 MHz for 50 kHz; 7.4 - 96 MHz 25 kHz (includes 0.5 MHz guard band per edge)</t>
    </r>
  </si>
  <si>
    <t>&lt;&lt; formula currently assumes all long cw - 11.11% FEC overehead</t>
  </si>
  <si>
    <t>bits</t>
  </si>
  <si>
    <t>bits per OFDMA frame</t>
  </si>
  <si>
    <t>3/4 code</t>
  </si>
  <si>
    <t>FEC overhead (short codeword)</t>
  </si>
  <si>
    <t>28/33 code</t>
  </si>
  <si>
    <t>FEC overhead (medium codeword)</t>
  </si>
  <si>
    <t>FEC overhead (long codeword)</t>
  </si>
  <si>
    <t>bits per minislot (edge) - no FEC overhead</t>
  </si>
  <si>
    <t xml:space="preserve">bits  </t>
  </si>
  <si>
    <t>bits per minislot (body) - no FEC overhead</t>
  </si>
  <si>
    <t>BW &lt; 48 MHz</t>
  </si>
  <si>
    <t>48 MHz =&lt; BW &lt; 72 MHz</t>
  </si>
  <si>
    <t xml:space="preserve">BW &gt;= 72 MHz </t>
  </si>
  <si>
    <t>Maximum "K" for 25 kHz</t>
  </si>
  <si>
    <t>Maximum "K" for 50 kHz</t>
  </si>
  <si>
    <t>comp pilots</t>
  </si>
  <si>
    <t>complementary pilots per minislot (edge)</t>
  </si>
  <si>
    <t>Minimum "K" is 6 for both 50 kHz and 25 kHz</t>
  </si>
  <si>
    <t>complementary pilots per minislot (body)</t>
  </si>
  <si>
    <t>OFDMA frame "K" values based on encompassed spectrum (channel width - guard bands)</t>
  </si>
  <si>
    <t>pilots</t>
  </si>
  <si>
    <t>Pilots per minislot (edge)</t>
  </si>
  <si>
    <t>Pilots per minislot ( body)</t>
  </si>
  <si>
    <t>pattern</t>
  </si>
  <si>
    <t>Pilot pattern</t>
  </si>
  <si>
    <t>µsec</t>
  </si>
  <si>
    <t>OFDMA frame duration</t>
  </si>
  <si>
    <t>Minislot size (400 kHz)</t>
  </si>
  <si>
    <r>
      <t>OFDM symbols per OFDMA Frame (K)</t>
    </r>
    <r>
      <rPr>
        <vertAlign val="superscript"/>
        <sz val="11"/>
        <rFont val="Calibri"/>
        <family val="2"/>
        <scheme val="minor"/>
      </rPr>
      <t>4</t>
    </r>
  </si>
  <si>
    <t>Maximum K values based on channel size</t>
  </si>
  <si>
    <t>Exclusion bands (or unused bands)</t>
  </si>
  <si>
    <r>
      <t>Size of channels (MHz) - 7.4 - 96 MHz</t>
    </r>
    <r>
      <rPr>
        <vertAlign val="superscript"/>
        <sz val="11"/>
        <color theme="1"/>
        <rFont val="Calibri"/>
        <family val="2"/>
        <scheme val="minor"/>
      </rPr>
      <t>1</t>
    </r>
  </si>
  <si>
    <t>FFT size (2K or 4K FFT)</t>
  </si>
  <si>
    <t>OFDMA Upstream</t>
  </si>
  <si>
    <t>K - 25 kHz</t>
  </si>
  <si>
    <t>K - 50 kHz</t>
  </si>
  <si>
    <t>4k pilot pattern</t>
  </si>
  <si>
    <t>2k pilot pattern</t>
  </si>
  <si>
    <t xml:space="preserve">DOCSIS 3.1 Downstream speeds based on cBR-8 configuration </t>
  </si>
  <si>
    <t xml:space="preserve">DOCSIS 3.1 OFDMA speeds based on cBR-8 configuration </t>
  </si>
  <si>
    <r>
      <rPr>
        <vertAlign val="superscript"/>
        <sz val="9"/>
        <color theme="1"/>
        <rFont val="Calibri"/>
        <family val="2"/>
        <scheme val="minor"/>
      </rPr>
      <t xml:space="preserve">3 </t>
    </r>
    <r>
      <rPr>
        <sz val="9"/>
        <color theme="1"/>
        <rFont val="Calibri"/>
        <family val="2"/>
        <scheme val="minor"/>
      </rPr>
      <t>Note that guard bands are fixed at 0.5 MHz on cBR-8</t>
    </r>
  </si>
  <si>
    <t>Minislots per OFDMA frame - (minimum 25 or 16 to ASIC)</t>
  </si>
  <si>
    <t>Total data carriers per OFDMA frame</t>
  </si>
  <si>
    <t>Total complementary pilots per OFDMA frame</t>
  </si>
  <si>
    <r>
      <t>Edge minislots per OFDMA Frame (estimate)</t>
    </r>
    <r>
      <rPr>
        <vertAlign val="superscript"/>
        <sz val="11"/>
        <color theme="1"/>
        <rFont val="Calibri"/>
        <family val="2"/>
        <scheme val="minor"/>
      </rPr>
      <t>5</t>
    </r>
  </si>
  <si>
    <t>OFDM Downstream</t>
  </si>
  <si>
    <r>
      <rPr>
        <vertAlign val="superscript"/>
        <sz val="9"/>
        <color theme="1"/>
        <rFont val="Calibri"/>
        <family val="2"/>
        <scheme val="minor"/>
      </rPr>
      <t xml:space="preserve">5 </t>
    </r>
    <r>
      <rPr>
        <sz val="9"/>
        <color theme="1"/>
        <rFont val="Calibri"/>
        <family val="2"/>
        <scheme val="minor"/>
      </rPr>
      <t>Edge minislots occur at start of OFDMA frame, after exluded or unused spectrum, and at start of modem burst (10% might be a good estimate - has minimal impact on estimate)</t>
    </r>
  </si>
  <si>
    <t>Unused subcarriers (assumes continuous exclusion band)</t>
  </si>
  <si>
    <r>
      <t>Guard band override (leave blank if not used)</t>
    </r>
    <r>
      <rPr>
        <vertAlign val="superscript"/>
        <sz val="11"/>
        <color theme="1"/>
        <rFont val="Calibri"/>
        <family val="2"/>
        <scheme val="minor"/>
      </rPr>
      <t>3</t>
    </r>
  </si>
  <si>
    <r>
      <t>Guard band on upper and lower edge (MHz)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</si>
  <si>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9"/>
        <color theme="1"/>
        <rFont val="Calibri"/>
        <family val="2"/>
        <scheme val="minor"/>
      </rPr>
      <t xml:space="preserve">4 </t>
    </r>
    <r>
      <rPr>
        <sz val="9"/>
        <color theme="1"/>
        <rFont val="Calibri"/>
        <family val="2"/>
        <scheme val="minor"/>
      </rPr>
      <t>Note that guard bands are based on Appendix V of D3.1 PHY spec based on roll-off period samples shown below (rounded to whole number of subcarriers)</t>
    </r>
  </si>
  <si>
    <r>
      <rPr>
        <vertAlign val="superscript"/>
        <sz val="9"/>
        <color theme="1"/>
        <rFont val="Calibri"/>
        <family val="2"/>
        <scheme val="minor"/>
      </rPr>
      <t xml:space="preserve">3 </t>
    </r>
    <r>
      <rPr>
        <sz val="9"/>
        <color theme="1"/>
        <rFont val="Calibri"/>
        <family val="2"/>
        <scheme val="minor"/>
      </rPr>
      <t xml:space="preserve">Note that maximum active OFDM spectrum is 190 MHz so must have 1 MHz  or higher guard band if channel is 192 MHz </t>
    </r>
  </si>
  <si>
    <t>Note: data rate estimates in row 35 only factor out DOCSIS PHY overhead - not MAC or IP 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</si>
</sst>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i/>
      <sz val="14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Border="1"/>
    <xf numFmtId="0" fontId="0" fillId="0" borderId="3" xfId="0" applyBorder="1"/>
    <xf numFmtId="0" fontId="0" fillId="0" borderId="1" xfId="0" applyFill="1" applyBorder="1"/>
    <xf numFmtId="9" fontId="0" fillId="0" borderId="1" xfId="1" applyFont="1" applyFill="1" applyBorder="1"/>
    <xf numFmtId="0" fontId="0" fillId="0" borderId="3" xfId="0" applyFill="1" applyBorder="1"/>
    <xf numFmtId="0" fontId="0" fillId="0" borderId="4" xfId="0" applyFill="1" applyBorder="1"/>
    <xf numFmtId="9" fontId="0" fillId="0" borderId="1" xfId="1" applyFont="1" applyBorder="1"/>
    <xf numFmtId="0" fontId="2" fillId="0" borderId="0" xfId="0" applyFont="1" applyBorder="1"/>
    <xf numFmtId="0" fontId="2" fillId="0" borderId="1" xfId="0" applyFont="1" applyBorder="1"/>
    <xf numFmtId="1" fontId="2" fillId="0" borderId="1" xfId="0" applyNumberFormat="1" applyFont="1" applyBorder="1"/>
    <xf numFmtId="2" fontId="2" fillId="0" borderId="1" xfId="0" applyNumberFormat="1" applyFont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2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9" fontId="0" fillId="0" borderId="1" xfId="1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6" fillId="0" borderId="0" xfId="0" applyFont="1" applyAlignment="1">
      <alignment horizontal="left" vertical="center" readingOrder="1"/>
    </xf>
    <xf numFmtId="0" fontId="7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/>
    <xf numFmtId="0" fontId="0" fillId="0" borderId="1" xfId="0" applyFill="1" applyBorder="1" applyProtection="1"/>
    <xf numFmtId="10" fontId="0" fillId="0" borderId="1" xfId="1" applyNumberFormat="1" applyFont="1" applyBorder="1"/>
    <xf numFmtId="1" fontId="0" fillId="0" borderId="1" xfId="0" applyNumberFormat="1" applyBorder="1"/>
    <xf numFmtId="1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9" fillId="0" borderId="1" xfId="0" applyFont="1" applyFill="1" applyBorder="1"/>
    <xf numFmtId="2" fontId="0" fillId="0" borderId="1" xfId="1" applyNumberFormat="1" applyFont="1" applyFill="1" applyBorder="1"/>
    <xf numFmtId="0" fontId="10" fillId="0" borderId="1" xfId="0" applyFont="1" applyFill="1" applyBorder="1"/>
    <xf numFmtId="0" fontId="10" fillId="0" borderId="1" xfId="0" applyFont="1" applyBorder="1"/>
    <xf numFmtId="10" fontId="0" fillId="0" borderId="1" xfId="1" applyNumberFormat="1" applyFont="1" applyFill="1" applyBorder="1"/>
    <xf numFmtId="0" fontId="0" fillId="0" borderId="0" xfId="0" applyFill="1" applyBorder="1"/>
    <xf numFmtId="0" fontId="0" fillId="0" borderId="0" xfId="0" applyFont="1" applyBorder="1"/>
    <xf numFmtId="0" fontId="0" fillId="0" borderId="4" xfId="0" applyBorder="1"/>
    <xf numFmtId="0" fontId="0" fillId="0" borderId="7" xfId="0" applyBorder="1" applyAlignment="1">
      <alignment horizontal="center"/>
    </xf>
    <xf numFmtId="164" fontId="0" fillId="0" borderId="1" xfId="0" applyNumberFormat="1" applyFill="1" applyBorder="1" applyProtection="1"/>
    <xf numFmtId="10" fontId="0" fillId="0" borderId="0" xfId="1" applyNumberFormat="1" applyFont="1" applyBorder="1"/>
    <xf numFmtId="2" fontId="0" fillId="0" borderId="0" xfId="0" applyNumberFormat="1" applyFont="1" applyBorder="1"/>
    <xf numFmtId="0" fontId="0" fillId="2" borderId="1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0" fontId="0" fillId="0" borderId="3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4" xfId="0" applyBorder="1" applyProtection="1"/>
    <xf numFmtId="0" fontId="0" fillId="0" borderId="7" xfId="0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6</xdr:col>
      <xdr:colOff>332105</xdr:colOff>
      <xdr:row>46</xdr:row>
      <xdr:rowOff>87630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6420"/>
          <a:ext cx="5943600" cy="24618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opLeftCell="A10" workbookViewId="0">
      <selection activeCell="D21" sqref="D21"/>
    </sheetView>
  </sheetViews>
  <sheetFormatPr defaultRowHeight="14.5" x14ac:dyDescent="0.35"/>
  <cols>
    <col min="1" max="1" width="38.54296875" bestFit="1" customWidth="1"/>
    <col min="2" max="3" width="7.81640625" customWidth="1"/>
    <col min="4" max="4" width="9.90625" bestFit="1" customWidth="1"/>
    <col min="7" max="7" width="16.453125" bestFit="1" customWidth="1"/>
    <col min="8" max="8" width="12.54296875" bestFit="1" customWidth="1"/>
  </cols>
  <sheetData>
    <row r="1" spans="1:9" x14ac:dyDescent="0.35">
      <c r="A1" s="18" t="s">
        <v>92</v>
      </c>
    </row>
    <row r="2" spans="1:9" x14ac:dyDescent="0.35">
      <c r="A2" s="18" t="s">
        <v>40</v>
      </c>
    </row>
    <row r="4" spans="1:9" ht="29" x14ac:dyDescent="0.35">
      <c r="A4" s="62" t="s">
        <v>99</v>
      </c>
      <c r="B4" s="62"/>
      <c r="C4" s="62"/>
      <c r="D4" s="62"/>
      <c r="E4" s="1"/>
      <c r="F4" s="2"/>
      <c r="G4" s="17" t="s">
        <v>30</v>
      </c>
      <c r="H4" s="19" t="s">
        <v>31</v>
      </c>
      <c r="I4" s="2"/>
    </row>
    <row r="5" spans="1:9" ht="16.5" x14ac:dyDescent="0.35">
      <c r="A5" s="3" t="s">
        <v>32</v>
      </c>
      <c r="B5" s="27">
        <v>192</v>
      </c>
      <c r="C5" s="27">
        <v>192</v>
      </c>
      <c r="D5" s="3" t="s">
        <v>0</v>
      </c>
      <c r="E5" s="1"/>
      <c r="G5" s="6" t="s">
        <v>5</v>
      </c>
      <c r="H5" s="20">
        <v>1</v>
      </c>
      <c r="I5" s="4"/>
    </row>
    <row r="6" spans="1:9" x14ac:dyDescent="0.35">
      <c r="A6" s="5" t="s">
        <v>1</v>
      </c>
      <c r="B6" s="5">
        <v>4096</v>
      </c>
      <c r="C6" s="5">
        <v>8192</v>
      </c>
      <c r="D6" s="5" t="s">
        <v>2</v>
      </c>
      <c r="E6" s="1"/>
      <c r="G6" s="6" t="s">
        <v>48</v>
      </c>
      <c r="H6" s="21">
        <v>2</v>
      </c>
      <c r="I6" s="1"/>
    </row>
    <row r="7" spans="1:9" x14ac:dyDescent="0.35">
      <c r="A7" s="5" t="s">
        <v>3</v>
      </c>
      <c r="B7" s="7">
        <v>50</v>
      </c>
      <c r="C7" s="7">
        <v>25</v>
      </c>
      <c r="D7" s="5" t="s">
        <v>4</v>
      </c>
      <c r="E7" s="1"/>
      <c r="G7" s="6" t="s">
        <v>47</v>
      </c>
      <c r="H7" s="21">
        <v>3</v>
      </c>
      <c r="I7" s="1"/>
    </row>
    <row r="8" spans="1:9" ht="16.5" x14ac:dyDescent="0.35">
      <c r="A8" s="7" t="s">
        <v>36</v>
      </c>
      <c r="B8" s="28">
        <v>192</v>
      </c>
      <c r="C8" s="28">
        <v>192</v>
      </c>
      <c r="D8" s="16" t="s">
        <v>33</v>
      </c>
      <c r="E8" s="1"/>
      <c r="G8" s="6" t="s">
        <v>6</v>
      </c>
      <c r="H8" s="21">
        <v>4</v>
      </c>
      <c r="I8" s="1"/>
    </row>
    <row r="9" spans="1:9" ht="16.5" x14ac:dyDescent="0.35">
      <c r="A9" s="7" t="s">
        <v>43</v>
      </c>
      <c r="B9" s="28">
        <v>128</v>
      </c>
      <c r="C9" s="28">
        <v>128</v>
      </c>
      <c r="D9" s="16" t="s">
        <v>33</v>
      </c>
      <c r="E9" s="1"/>
      <c r="G9" s="6" t="s">
        <v>7</v>
      </c>
      <c r="H9" s="21">
        <v>5</v>
      </c>
      <c r="I9" s="4"/>
    </row>
    <row r="10" spans="1:9" x14ac:dyDescent="0.35">
      <c r="A10" s="7" t="s">
        <v>37</v>
      </c>
      <c r="B10" s="8">
        <f>1-B6/(B6+B8)</f>
        <v>4.4776119402985093E-2</v>
      </c>
      <c r="C10" s="8">
        <f>1-C6/(C6+C8)</f>
        <v>2.2900763358778664E-2</v>
      </c>
      <c r="D10" s="7"/>
      <c r="E10" s="1"/>
      <c r="G10" s="6" t="s">
        <v>10</v>
      </c>
      <c r="H10" s="21">
        <v>6</v>
      </c>
      <c r="I10" s="1"/>
    </row>
    <row r="11" spans="1:9" ht="16.5" x14ac:dyDescent="0.35">
      <c r="A11" s="7" t="s">
        <v>102</v>
      </c>
      <c r="B11" s="53">
        <v>1</v>
      </c>
      <c r="C11" s="53">
        <v>1</v>
      </c>
      <c r="D11" s="7" t="s">
        <v>0</v>
      </c>
      <c r="E11" s="1"/>
      <c r="G11" s="6" t="s">
        <v>8</v>
      </c>
      <c r="H11" s="21">
        <v>7</v>
      </c>
      <c r="I11" s="1"/>
    </row>
    <row r="12" spans="1:9" ht="16.5" x14ac:dyDescent="0.35">
      <c r="A12" s="5" t="s">
        <v>103</v>
      </c>
      <c r="B12" s="50">
        <f>IF(B11="",IF(B9=64,3.6,IF(B9=128,1.9,IF(B9=192,1.35,IF(B9=256,1)))),B11)</f>
        <v>1</v>
      </c>
      <c r="C12" s="50">
        <f>IF(C11="",IF(C9=64,3.35,IF(C9=128,1.725,IF(C9=192,1.175,IF(C9=256,1)))),C11)</f>
        <v>1</v>
      </c>
      <c r="D12" s="3" t="s">
        <v>0</v>
      </c>
      <c r="E12" s="1"/>
      <c r="G12" s="6" t="s">
        <v>12</v>
      </c>
      <c r="H12" s="21">
        <v>8</v>
      </c>
      <c r="I12" s="1"/>
    </row>
    <row r="13" spans="1:9" x14ac:dyDescent="0.35">
      <c r="A13" s="5" t="s">
        <v>9</v>
      </c>
      <c r="B13" s="5">
        <f>(B5-(2*B12))*1000 /B7</f>
        <v>3800</v>
      </c>
      <c r="C13" s="5">
        <f>(C5-(2*C12))*1000 /C7</f>
        <v>7600</v>
      </c>
      <c r="D13" s="5" t="s">
        <v>2</v>
      </c>
      <c r="E13" s="1"/>
      <c r="G13" s="6" t="s">
        <v>14</v>
      </c>
      <c r="H13" s="21">
        <v>9</v>
      </c>
      <c r="I13" s="1"/>
    </row>
    <row r="14" spans="1:9" x14ac:dyDescent="0.35">
      <c r="A14" s="5" t="s">
        <v>11</v>
      </c>
      <c r="B14" s="5">
        <v>8</v>
      </c>
      <c r="C14" s="5">
        <v>16</v>
      </c>
      <c r="D14" s="5" t="s">
        <v>2</v>
      </c>
      <c r="E14" s="1"/>
      <c r="G14" s="6" t="s">
        <v>16</v>
      </c>
      <c r="H14" s="21">
        <v>10</v>
      </c>
      <c r="I14" s="1"/>
    </row>
    <row r="15" spans="1:9" x14ac:dyDescent="0.35">
      <c r="A15" s="5" t="s">
        <v>13</v>
      </c>
      <c r="B15" s="28">
        <v>48</v>
      </c>
      <c r="C15" s="28">
        <v>48</v>
      </c>
      <c r="D15" s="5" t="s">
        <v>2</v>
      </c>
      <c r="E15" s="1"/>
      <c r="G15" s="6" t="s">
        <v>18</v>
      </c>
      <c r="H15" s="21">
        <v>11</v>
      </c>
      <c r="I15" s="1"/>
    </row>
    <row r="16" spans="1:9" x14ac:dyDescent="0.35">
      <c r="A16" s="5" t="s">
        <v>15</v>
      </c>
      <c r="B16" s="5">
        <f>ROUNDUP(B5/192*B15+8,0)</f>
        <v>56</v>
      </c>
      <c r="C16" s="5">
        <f>ROUNDUP(C5/192*C15+8,0)</f>
        <v>56</v>
      </c>
      <c r="D16" s="5" t="s">
        <v>2</v>
      </c>
      <c r="E16" s="1"/>
      <c r="G16" s="6" t="s">
        <v>19</v>
      </c>
      <c r="H16" s="21">
        <v>12</v>
      </c>
      <c r="I16" s="1"/>
    </row>
    <row r="17" spans="1:10" x14ac:dyDescent="0.35">
      <c r="A17" s="5" t="s">
        <v>17</v>
      </c>
      <c r="B17" s="5">
        <f>TRUNC(B13/128)</f>
        <v>29</v>
      </c>
      <c r="C17" s="5">
        <f>TRUNC(C13/128)</f>
        <v>59</v>
      </c>
      <c r="D17" s="5" t="s">
        <v>2</v>
      </c>
      <c r="E17" s="1"/>
      <c r="G17" s="9" t="s">
        <v>22</v>
      </c>
      <c r="H17" s="22">
        <v>13</v>
      </c>
      <c r="I17" s="1"/>
    </row>
    <row r="18" spans="1:10" x14ac:dyDescent="0.35">
      <c r="A18" s="5" t="s">
        <v>38</v>
      </c>
      <c r="B18" s="28">
        <v>4</v>
      </c>
      <c r="C18" s="28">
        <v>4</v>
      </c>
      <c r="D18" s="5"/>
      <c r="E18" s="1"/>
      <c r="G18" s="10" t="s">
        <v>24</v>
      </c>
      <c r="H18" s="23">
        <v>14</v>
      </c>
      <c r="I18" s="1"/>
    </row>
    <row r="19" spans="1:10" x14ac:dyDescent="0.35">
      <c r="A19" s="5" t="s">
        <v>20</v>
      </c>
      <c r="B19" s="28">
        <v>6</v>
      </c>
      <c r="C19" s="28">
        <v>6</v>
      </c>
      <c r="D19" s="5" t="s">
        <v>21</v>
      </c>
      <c r="E19" s="1"/>
    </row>
    <row r="20" spans="1:10" x14ac:dyDescent="0.35">
      <c r="A20" s="5" t="s">
        <v>23</v>
      </c>
      <c r="B20" s="5">
        <f>(B18+1)*48/B19</f>
        <v>40</v>
      </c>
      <c r="C20" s="5">
        <f>(C18+1)*48/C19</f>
        <v>40</v>
      </c>
      <c r="D20" s="5" t="s">
        <v>2</v>
      </c>
      <c r="E20" s="1"/>
    </row>
    <row r="21" spans="1:10" x14ac:dyDescent="0.35">
      <c r="A21" s="5" t="s">
        <v>25</v>
      </c>
      <c r="B21" s="24">
        <f>1984/16200</f>
        <v>0.12246913580246914</v>
      </c>
      <c r="C21" s="24">
        <f>1984/16200</f>
        <v>0.12246913580246914</v>
      </c>
      <c r="D21" s="11" t="s">
        <v>26</v>
      </c>
      <c r="E21" s="1"/>
      <c r="I21" s="12"/>
    </row>
    <row r="22" spans="1:10" x14ac:dyDescent="0.35">
      <c r="A22" s="7" t="s">
        <v>27</v>
      </c>
      <c r="B22" s="28">
        <v>12</v>
      </c>
      <c r="C22" s="28">
        <v>12</v>
      </c>
      <c r="D22" s="5" t="s">
        <v>21</v>
      </c>
      <c r="E22" s="1"/>
      <c r="F22" s="1"/>
      <c r="G22" s="31"/>
      <c r="H22" s="31"/>
      <c r="I22" s="1"/>
    </row>
    <row r="23" spans="1:10" x14ac:dyDescent="0.35">
      <c r="A23" s="13" t="s">
        <v>28</v>
      </c>
      <c r="B23" s="14">
        <f>(B13-B14-B16-B17-B20)*B7*B22*(1-B21)*(1-B10)/1000</f>
        <v>1844.2922100608068</v>
      </c>
      <c r="C23" s="14">
        <f>(C13-C14-C16-C17-C20)*C7*C22*(1-C21)*(1-C10)/1000</f>
        <v>1910.9647995476391</v>
      </c>
      <c r="D23" s="15" t="s">
        <v>29</v>
      </c>
      <c r="E23" s="1"/>
      <c r="F23" s="1"/>
      <c r="G23" s="31"/>
      <c r="H23" s="32"/>
      <c r="I23" s="1"/>
      <c r="J23" s="1"/>
    </row>
    <row r="24" spans="1:10" x14ac:dyDescent="0.35">
      <c r="A24" s="25" t="s">
        <v>35</v>
      </c>
      <c r="B24" s="36">
        <f>1-B23*10^6/(B13*B7*10^3*B22)</f>
        <v>0.19109990786806719</v>
      </c>
      <c r="C24" s="36">
        <f>1-C23*10^6/(C13*C7*10^3*C22)</f>
        <v>0.16185754405805297</v>
      </c>
      <c r="D24" s="26"/>
      <c r="E24" s="1"/>
      <c r="F24" s="1"/>
      <c r="G24" s="31"/>
      <c r="H24" s="32"/>
      <c r="I24" s="1"/>
      <c r="J24" s="1"/>
    </row>
    <row r="25" spans="1:10" x14ac:dyDescent="0.35">
      <c r="A25" s="47"/>
      <c r="B25" s="51"/>
      <c r="C25" s="51"/>
      <c r="D25" s="52"/>
      <c r="E25" s="1"/>
      <c r="F25" s="1"/>
      <c r="G25" s="32"/>
      <c r="H25" s="33"/>
      <c r="I25" s="1"/>
      <c r="J25" s="1"/>
    </row>
    <row r="26" spans="1:10" x14ac:dyDescent="0.35">
      <c r="G26" s="33"/>
      <c r="H26" s="33"/>
    </row>
    <row r="27" spans="1:10" x14ac:dyDescent="0.35">
      <c r="A27" s="30" t="s">
        <v>42</v>
      </c>
      <c r="G27" s="33"/>
      <c r="H27" s="33"/>
    </row>
    <row r="28" spans="1:10" x14ac:dyDescent="0.35">
      <c r="A28" s="30" t="s">
        <v>41</v>
      </c>
      <c r="G28" s="33"/>
      <c r="H28" s="33"/>
    </row>
    <row r="29" spans="1:10" x14ac:dyDescent="0.35">
      <c r="A29" s="34" t="s">
        <v>105</v>
      </c>
      <c r="G29" s="33"/>
      <c r="H29" s="33"/>
    </row>
    <row r="30" spans="1:10" x14ac:dyDescent="0.35">
      <c r="A30" s="34" t="s">
        <v>104</v>
      </c>
      <c r="G30" s="33"/>
      <c r="H30" s="33"/>
    </row>
    <row r="31" spans="1:10" x14ac:dyDescent="0.35">
      <c r="G31" s="33"/>
      <c r="H31" s="33"/>
    </row>
    <row r="32" spans="1:10" ht="18.5" x14ac:dyDescent="0.35">
      <c r="A32" s="29" t="s">
        <v>39</v>
      </c>
      <c r="G32" s="33"/>
    </row>
    <row r="33" spans="1:8" ht="18.5" x14ac:dyDescent="0.35">
      <c r="A33" s="29"/>
      <c r="G33" s="33"/>
      <c r="H33" s="31"/>
    </row>
    <row r="34" spans="1:8" x14ac:dyDescent="0.35">
      <c r="G34" s="33"/>
      <c r="H34" s="31"/>
    </row>
  </sheetData>
  <sheetProtection sheet="1" objects="1" scenarios="1"/>
  <mergeCells count="1">
    <mergeCell ref="A4:D4"/>
  </mergeCells>
  <dataValidations count="6">
    <dataValidation type="whole" allowBlank="1" showInputMessage="1" showErrorMessage="1" error="Must be an integer between 48 - 120" sqref="B15:C15" xr:uid="{00000000-0002-0000-0000-000000000000}">
      <formula1>48</formula1>
      <formula2>120</formula2>
    </dataValidation>
    <dataValidation type="whole" allowBlank="1" showInputMessage="1" showErrorMessage="1" error="Always will have 1 NCP (null) and up to 14 in two successive symbols for 50 kHz subcarriers (so use 7 as max here)_x000a_" prompt="Always will have 1 NCP (null) and up to 14 in two successive symbols for 50 kHz subcarriers (so used 7 as max here)" sqref="B18" xr:uid="{00000000-0002-0000-0000-000001000000}">
      <formula1>1</formula1>
      <formula2>7</formula2>
    </dataValidation>
    <dataValidation type="whole" allowBlank="1" showInputMessage="1" showErrorMessage="1" error="Always will have 1 NCP (null) and up to 12 NCP messages (for 25 kHz subcarriers)_x000a_" prompt="Always will have 1 NCP (null) and up to 12 NCP messages (for 25 kHz subcarriers)" sqref="C18" xr:uid="{00000000-0002-0000-0000-000002000000}">
      <formula1>1</formula1>
      <formula2>12</formula2>
    </dataValidation>
    <dataValidation type="decimal" allowBlank="1" showInputMessage="1" showErrorMessage="1" error="valid channel widths are 24 MHz - 192 MHz" sqref="B5:C5" xr:uid="{00000000-0002-0000-0000-000003000000}">
      <formula1>24</formula1>
      <formula2>192</formula2>
    </dataValidation>
    <dataValidation type="decimal" allowBlank="1" showInputMessage="1" showErrorMessage="1" error="Valid guardbands 0 - 4 MHz" prompt="Valid guardbands 0 - 4 MHz" sqref="C11" xr:uid="{00000000-0002-0000-0000-000004000000}">
      <formula1>0</formula1>
      <formula2>4</formula2>
    </dataValidation>
    <dataValidation type="decimal" allowBlank="1" showInputMessage="1" showErrorMessage="1" error="Valid guardbands 0 MHz - 4 MHz" prompt="Valid guardbands 0 MHz - 4 MHz" sqref="B11" xr:uid="{00000000-0002-0000-0000-000005000000}">
      <formula1>0</formula1>
      <formula2>4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6000000}">
          <x14:formula1>
            <xm:f>'DS Valid Options'!$A$4:$A$8</xm:f>
          </x14:formula1>
          <xm:sqref>B8:C8</xm:sqref>
        </x14:dataValidation>
        <x14:dataValidation type="list" allowBlank="1" showInputMessage="1" showErrorMessage="1" prompt="Must be smaller than cyclic prefix above" xr:uid="{00000000-0002-0000-0000-000007000000}">
          <x14:formula1>
            <xm:f>'DS Valid Options'!$B$4:$B$7</xm:f>
          </x14:formula1>
          <xm:sqref>B9:C9</xm:sqref>
        </x14:dataValidation>
        <x14:dataValidation type="list" allowBlank="1" showInputMessage="1" showErrorMessage="1" error="Valid modulations orders are 2, 4, or 6" xr:uid="{00000000-0002-0000-0000-000008000000}">
          <x14:formula1>
            <xm:f>'DS Valid Options'!$C$4:$C$6</xm:f>
          </x14:formula1>
          <xm:sqref>B19:C19</xm:sqref>
        </x14:dataValidation>
        <x14:dataValidation type="list" allowBlank="1" showInputMessage="1" showErrorMessage="1" error="valid modulation orders are 4, 6 - 14" xr:uid="{00000000-0002-0000-0000-000009000000}">
          <x14:formula1>
            <xm:f>'DS Valid Options'!$B$16:$B$25</xm:f>
          </x14:formula1>
          <xm:sqref>B22:C22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abSelected="1" workbookViewId="0">
      <selection activeCell="C35" sqref="C35"/>
    </sheetView>
  </sheetViews>
  <sheetFormatPr defaultRowHeight="14.5" x14ac:dyDescent="0.35"/>
  <cols>
    <col min="1" max="1" width="46.81640625" customWidth="1"/>
    <col min="2" max="3" width="7.81640625" customWidth="1"/>
    <col min="4" max="4" width="11.08984375" bestFit="1" customWidth="1"/>
    <col min="7" max="7" width="21.54296875" customWidth="1"/>
    <col min="8" max="8" width="9.08984375" customWidth="1"/>
    <col min="9" max="9" width="21.6328125" customWidth="1"/>
    <col min="10" max="10" width="8" customWidth="1"/>
    <col min="11" max="11" width="21.36328125" customWidth="1"/>
  </cols>
  <sheetData>
    <row r="1" spans="1:9" x14ac:dyDescent="0.35">
      <c r="A1" s="18" t="s">
        <v>93</v>
      </c>
    </row>
    <row r="2" spans="1:9" x14ac:dyDescent="0.35">
      <c r="A2" s="18" t="s">
        <v>106</v>
      </c>
    </row>
    <row r="4" spans="1:9" ht="29" x14ac:dyDescent="0.35">
      <c r="A4" s="62" t="s">
        <v>87</v>
      </c>
      <c r="B4" s="62"/>
      <c r="C4" s="62"/>
      <c r="D4" s="62"/>
      <c r="E4" s="1"/>
      <c r="F4" s="2"/>
      <c r="G4" s="17" t="s">
        <v>30</v>
      </c>
      <c r="H4" s="19" t="s">
        <v>31</v>
      </c>
    </row>
    <row r="5" spans="1:9" x14ac:dyDescent="0.35">
      <c r="A5" s="5" t="s">
        <v>86</v>
      </c>
      <c r="B5" s="5">
        <v>2048</v>
      </c>
      <c r="C5" s="5">
        <v>4096</v>
      </c>
      <c r="D5" s="5" t="s">
        <v>2</v>
      </c>
      <c r="E5" s="1"/>
      <c r="G5" s="6" t="s">
        <v>5</v>
      </c>
      <c r="H5" s="20">
        <v>1</v>
      </c>
    </row>
    <row r="6" spans="1:9" x14ac:dyDescent="0.35">
      <c r="A6" s="5" t="s">
        <v>3</v>
      </c>
      <c r="B6" s="7">
        <v>50</v>
      </c>
      <c r="C6" s="7">
        <v>25</v>
      </c>
      <c r="D6" s="5" t="s">
        <v>4</v>
      </c>
      <c r="E6" s="1"/>
      <c r="G6" s="6" t="s">
        <v>48</v>
      </c>
      <c r="H6" s="21">
        <v>2</v>
      </c>
    </row>
    <row r="7" spans="1:9" ht="16.5" x14ac:dyDescent="0.35">
      <c r="A7" s="3" t="s">
        <v>85</v>
      </c>
      <c r="B7" s="27">
        <v>96</v>
      </c>
      <c r="C7" s="27">
        <v>96</v>
      </c>
      <c r="D7" s="3" t="s">
        <v>0</v>
      </c>
      <c r="E7" s="1"/>
      <c r="G7" s="6" t="s">
        <v>47</v>
      </c>
      <c r="H7" s="21">
        <v>3</v>
      </c>
    </row>
    <row r="8" spans="1:9" x14ac:dyDescent="0.35">
      <c r="A8" s="3" t="s">
        <v>84</v>
      </c>
      <c r="B8" s="27"/>
      <c r="C8" s="27"/>
      <c r="D8" s="3" t="s">
        <v>0</v>
      </c>
      <c r="E8" s="1"/>
      <c r="G8" s="6" t="s">
        <v>6</v>
      </c>
      <c r="H8" s="21">
        <v>4</v>
      </c>
    </row>
    <row r="9" spans="1:9" ht="16.5" x14ac:dyDescent="0.35">
      <c r="A9" s="5" t="s">
        <v>34</v>
      </c>
      <c r="B9" s="35">
        <v>0.5</v>
      </c>
      <c r="C9" s="35">
        <v>0.5</v>
      </c>
      <c r="D9" s="3" t="s">
        <v>0</v>
      </c>
      <c r="E9" s="1"/>
      <c r="G9" s="6" t="s">
        <v>7</v>
      </c>
      <c r="H9" s="21">
        <v>5</v>
      </c>
    </row>
    <row r="10" spans="1:9" x14ac:dyDescent="0.35">
      <c r="A10" s="5" t="s">
        <v>9</v>
      </c>
      <c r="B10" s="5">
        <f>((B7-B8)-(2*B9))*1000 /B6</f>
        <v>1900</v>
      </c>
      <c r="C10" s="5">
        <f>((C7-C8)-(2*C9))*1000 /C6</f>
        <v>3800</v>
      </c>
      <c r="D10" s="5" t="s">
        <v>2</v>
      </c>
      <c r="E10" s="1"/>
      <c r="G10" s="6" t="s">
        <v>10</v>
      </c>
      <c r="H10" s="21">
        <v>6</v>
      </c>
      <c r="I10" s="1"/>
    </row>
    <row r="11" spans="1:9" ht="16.5" x14ac:dyDescent="0.35">
      <c r="A11" s="7" t="s">
        <v>36</v>
      </c>
      <c r="B11" s="28">
        <v>96</v>
      </c>
      <c r="C11" s="28">
        <v>96</v>
      </c>
      <c r="D11" s="16" t="s">
        <v>33</v>
      </c>
      <c r="E11" s="1"/>
      <c r="G11" s="6" t="s">
        <v>8</v>
      </c>
      <c r="H11" s="21">
        <v>7</v>
      </c>
      <c r="I11" s="1"/>
    </row>
    <row r="12" spans="1:9" ht="16.5" x14ac:dyDescent="0.35">
      <c r="A12" s="7" t="s">
        <v>43</v>
      </c>
      <c r="B12" s="28">
        <v>64</v>
      </c>
      <c r="C12" s="28">
        <v>64</v>
      </c>
      <c r="D12" s="16" t="s">
        <v>33</v>
      </c>
      <c r="E12" s="1"/>
      <c r="G12" s="6" t="s">
        <v>12</v>
      </c>
      <c r="H12" s="21">
        <v>8</v>
      </c>
      <c r="I12" s="1"/>
    </row>
    <row r="13" spans="1:9" x14ac:dyDescent="0.35">
      <c r="A13" s="7" t="s">
        <v>37</v>
      </c>
      <c r="B13" s="45">
        <f>1-B5/(B5+B11)</f>
        <v>4.4776119402985093E-2</v>
      </c>
      <c r="C13" s="45">
        <f>1-C5/(C5+C11)</f>
        <v>2.2900763358778664E-2</v>
      </c>
      <c r="D13" s="7"/>
      <c r="E13" s="1"/>
      <c r="G13" s="6" t="s">
        <v>14</v>
      </c>
      <c r="H13" s="21">
        <v>9</v>
      </c>
      <c r="I13" s="1"/>
    </row>
    <row r="14" spans="1:9" x14ac:dyDescent="0.35">
      <c r="A14" s="5" t="s">
        <v>83</v>
      </c>
      <c r="B14" s="5">
        <f>IF(B7&gt;=73,18,IF(B7&gt;=49,24,36))</f>
        <v>18</v>
      </c>
      <c r="C14" s="5">
        <f>IF(C7&gt;=73,9,IF(C7&gt;=49,12,18))</f>
        <v>9</v>
      </c>
      <c r="D14" s="5"/>
      <c r="E14" s="1"/>
      <c r="G14" s="6" t="s">
        <v>16</v>
      </c>
      <c r="H14" s="21">
        <v>10</v>
      </c>
      <c r="I14" s="1"/>
    </row>
    <row r="15" spans="1:9" ht="16.5" x14ac:dyDescent="0.35">
      <c r="A15" s="44" t="s">
        <v>82</v>
      </c>
      <c r="B15" s="28">
        <v>18</v>
      </c>
      <c r="C15" s="28">
        <v>9</v>
      </c>
      <c r="D15" s="5"/>
      <c r="E15" s="1"/>
      <c r="G15" s="6" t="s">
        <v>18</v>
      </c>
      <c r="H15" s="21">
        <v>11</v>
      </c>
      <c r="I15" s="1"/>
    </row>
    <row r="16" spans="1:9" x14ac:dyDescent="0.35">
      <c r="A16" s="5" t="s">
        <v>81</v>
      </c>
      <c r="B16" s="5">
        <v>8</v>
      </c>
      <c r="C16" s="5">
        <v>16</v>
      </c>
      <c r="D16" s="5" t="s">
        <v>2</v>
      </c>
      <c r="E16" s="1"/>
      <c r="G16" s="48" t="s">
        <v>19</v>
      </c>
      <c r="H16" s="49">
        <v>12</v>
      </c>
      <c r="I16" s="1"/>
    </row>
    <row r="17" spans="1:10" x14ac:dyDescent="0.35">
      <c r="A17" s="43" t="s">
        <v>95</v>
      </c>
      <c r="B17" s="5">
        <f>TRUNC(B10/B16)</f>
        <v>237</v>
      </c>
      <c r="C17" s="5">
        <f>TRUNC(C10/C16)</f>
        <v>237</v>
      </c>
      <c r="D17" s="5"/>
      <c r="E17" s="1"/>
      <c r="G17" s="46"/>
      <c r="H17" s="33"/>
      <c r="I17" s="1"/>
    </row>
    <row r="18" spans="1:10" ht="16.5" x14ac:dyDescent="0.35">
      <c r="A18" s="5" t="s">
        <v>98</v>
      </c>
      <c r="B18" s="28">
        <v>23</v>
      </c>
      <c r="C18" s="28">
        <v>23</v>
      </c>
      <c r="D18" s="5"/>
      <c r="E18" s="1"/>
      <c r="G18" s="46"/>
      <c r="H18" s="33"/>
      <c r="I18" s="1"/>
    </row>
    <row r="19" spans="1:10" x14ac:dyDescent="0.35">
      <c r="A19" s="7" t="s">
        <v>101</v>
      </c>
      <c r="B19" s="5">
        <f>MOD(B10,B16)</f>
        <v>4</v>
      </c>
      <c r="C19" s="5">
        <f>MOD(C10,C16)</f>
        <v>8</v>
      </c>
      <c r="D19" s="5"/>
      <c r="E19" s="1"/>
    </row>
    <row r="20" spans="1:10" x14ac:dyDescent="0.35">
      <c r="A20" s="7" t="s">
        <v>80</v>
      </c>
      <c r="B20" s="42">
        <f>B15*(20+(B11/102.4))</f>
        <v>376.875</v>
      </c>
      <c r="C20" s="42">
        <f>C15*(40+(C11/102.4))</f>
        <v>368.4375</v>
      </c>
      <c r="D20" s="41" t="s">
        <v>79</v>
      </c>
      <c r="E20" s="1"/>
    </row>
    <row r="21" spans="1:10" x14ac:dyDescent="0.35">
      <c r="A21" s="5" t="s">
        <v>78</v>
      </c>
      <c r="B21" s="28">
        <v>1</v>
      </c>
      <c r="C21" s="28">
        <v>8</v>
      </c>
      <c r="D21" s="5" t="s">
        <v>77</v>
      </c>
      <c r="E21" s="1"/>
    </row>
    <row r="22" spans="1:10" x14ac:dyDescent="0.35">
      <c r="A22" s="5" t="s">
        <v>76</v>
      </c>
      <c r="B22" s="5">
        <f>IF(B21=1,2,IF(B21=2,4,IF(B21=3,8,IF(B21=4,16,IF(B21=5,1,IF(B21=6,2,IF(B21=7,4)))))))</f>
        <v>2</v>
      </c>
      <c r="C22" s="5">
        <f>IF(C21=8,2,IF(C21=9,4,IF(C21=10,8,IF(C21=11,16,IF(C21=12,1,IF(C21=13,2,IF(C21=14,4)))))))</f>
        <v>2</v>
      </c>
      <c r="D22" s="5" t="s">
        <v>74</v>
      </c>
      <c r="E22" s="1"/>
    </row>
    <row r="23" spans="1:10" x14ac:dyDescent="0.35">
      <c r="A23" s="5" t="s">
        <v>75</v>
      </c>
      <c r="B23" s="5">
        <f>IF(B21=1,4,IF(B21=2,6,IF(B21=3,10,IF(B21=4,16,IF(B21=5,2,IF(B21=6,3,IF(B21=7,5)))))))</f>
        <v>4</v>
      </c>
      <c r="C23" s="5">
        <f>IF(C21=8,4,IF(C21=9,6,IF(C21=10,10,IF(C21=11,18,IF(C21=12,2,IF(C21=13,3,IF(C21=14,5)))))))</f>
        <v>4</v>
      </c>
      <c r="D23" s="5" t="s">
        <v>74</v>
      </c>
      <c r="E23" s="1"/>
      <c r="G23" t="s">
        <v>73</v>
      </c>
    </row>
    <row r="24" spans="1:10" x14ac:dyDescent="0.35">
      <c r="A24" s="5" t="s">
        <v>72</v>
      </c>
      <c r="B24" s="5">
        <f>IF(B21=1,2,IF(B21=2,2,IF(B21=3,2,IF(B21=4,2,IF(B21=5,1,IF(B21=6,1,IF(B21=7,1)))))))</f>
        <v>2</v>
      </c>
      <c r="C24" s="5">
        <f>IF(C21=8,2,IF(C21=9,2,IF(C21=10,2,IF(C21=11,2,IF(C21=12,1,IF(C21=13,1,IF(C21=14,1)))))))</f>
        <v>2</v>
      </c>
      <c r="D24" s="5" t="s">
        <v>69</v>
      </c>
      <c r="E24" s="1"/>
      <c r="G24" s="63" t="s">
        <v>71</v>
      </c>
      <c r="H24" s="63"/>
      <c r="I24" s="63"/>
      <c r="J24" s="63"/>
    </row>
    <row r="25" spans="1:10" x14ac:dyDescent="0.35">
      <c r="A25" s="5" t="s">
        <v>70</v>
      </c>
      <c r="B25" s="5">
        <f>IF(B21=1,4,IF(B21=2,4,IF(B21=3,4,IF(B21=4,4,IF(B21=5,2,IF(B21=6,2,IF(B21=7,2)))))))</f>
        <v>4</v>
      </c>
      <c r="C25" s="5">
        <f>IF(C21=8,4,IF(C21=9,4,IF(C21=10,4,IF(C21=11,4,IF(C21=12,2,IF(C21=13,2,IF(C21=14,2)))))))</f>
        <v>4</v>
      </c>
      <c r="D25" s="5" t="s">
        <v>69</v>
      </c>
      <c r="E25" s="1"/>
      <c r="G25" s="63" t="s">
        <v>68</v>
      </c>
      <c r="H25" s="63"/>
      <c r="I25" s="63" t="s">
        <v>67</v>
      </c>
      <c r="J25" s="63"/>
    </row>
    <row r="26" spans="1:10" x14ac:dyDescent="0.35">
      <c r="A26" s="5" t="s">
        <v>96</v>
      </c>
      <c r="B26" s="5">
        <f>(B17-B18)*(B16*B15-B22-B24)+(B18*(B16*B15-B23-B25))</f>
        <v>33088</v>
      </c>
      <c r="C26" s="5">
        <f>(C17-C18)*(C16*C15-C22-C24)+(C18*(C16*C15-C23-C25))</f>
        <v>33088</v>
      </c>
      <c r="D26" s="5"/>
      <c r="E26" s="1"/>
      <c r="F26" s="1"/>
      <c r="G26" s="40" t="s">
        <v>66</v>
      </c>
      <c r="H26" s="39">
        <v>18</v>
      </c>
      <c r="I26" s="40" t="s">
        <v>66</v>
      </c>
      <c r="J26" s="39">
        <v>9</v>
      </c>
    </row>
    <row r="27" spans="1:10" x14ac:dyDescent="0.35">
      <c r="A27" s="7" t="s">
        <v>97</v>
      </c>
      <c r="B27" s="5">
        <f>(B17-B18)*B24+(B18*B25)</f>
        <v>520</v>
      </c>
      <c r="C27" s="5">
        <f>(C17-C18)*C24+(C18*C25)</f>
        <v>520</v>
      </c>
      <c r="D27" s="5"/>
      <c r="G27" s="40" t="s">
        <v>65</v>
      </c>
      <c r="H27" s="39">
        <v>24</v>
      </c>
      <c r="I27" s="40" t="s">
        <v>65</v>
      </c>
      <c r="J27" s="39">
        <v>12</v>
      </c>
    </row>
    <row r="28" spans="1:10" x14ac:dyDescent="0.35">
      <c r="A28" s="7" t="s">
        <v>27</v>
      </c>
      <c r="B28" s="28">
        <v>10</v>
      </c>
      <c r="C28" s="28">
        <v>10</v>
      </c>
      <c r="D28" s="5" t="s">
        <v>21</v>
      </c>
      <c r="G28" s="3" t="s">
        <v>64</v>
      </c>
      <c r="H28" s="39">
        <v>36</v>
      </c>
      <c r="I28" s="3" t="s">
        <v>64</v>
      </c>
      <c r="J28" s="39">
        <v>18</v>
      </c>
    </row>
    <row r="29" spans="1:10" x14ac:dyDescent="0.35">
      <c r="A29" s="5" t="s">
        <v>63</v>
      </c>
      <c r="B29" s="38">
        <f>((B16*B15-B22-B24)*B28)+(B24*IF(B28&gt;4,B28-4,1))</f>
        <v>1412</v>
      </c>
      <c r="C29" s="38">
        <f>((C16*C15-C22-C24)*C28)+(C24*IF(C28&gt;4,C28-4,1))</f>
        <v>1412</v>
      </c>
      <c r="D29" s="11" t="s">
        <v>62</v>
      </c>
      <c r="G29" s="33"/>
    </row>
    <row r="30" spans="1:10" x14ac:dyDescent="0.35">
      <c r="A30" s="5" t="s">
        <v>61</v>
      </c>
      <c r="B30" s="38">
        <f>((B16*B15-B23-B25)*B28)+(B25*IF(B28&gt;4,B28-4,1))</f>
        <v>1384</v>
      </c>
      <c r="C30" s="38">
        <f>((C16*C15-C23-C25)*C28)+(C25*IF(C28&gt;4,C28-4,1))</f>
        <v>1384</v>
      </c>
      <c r="D30" s="11" t="s">
        <v>54</v>
      </c>
      <c r="G30" s="33"/>
      <c r="H30" s="31"/>
    </row>
    <row r="31" spans="1:10" x14ac:dyDescent="0.35">
      <c r="A31" s="5" t="s">
        <v>60</v>
      </c>
      <c r="B31" s="36">
        <v>0.1111111111111111</v>
      </c>
      <c r="C31" s="36">
        <v>0.1111111111111111</v>
      </c>
      <c r="D31" s="11" t="s">
        <v>26</v>
      </c>
      <c r="G31" s="33"/>
      <c r="H31" s="31"/>
    </row>
    <row r="32" spans="1:10" x14ac:dyDescent="0.35">
      <c r="A32" s="5" t="s">
        <v>59</v>
      </c>
      <c r="B32" s="36">
        <v>0.15151515151515152</v>
      </c>
      <c r="C32" s="36">
        <v>0.15151515151515152</v>
      </c>
      <c r="D32" s="11" t="s">
        <v>58</v>
      </c>
    </row>
    <row r="33" spans="1:7" x14ac:dyDescent="0.35">
      <c r="A33" s="5" t="s">
        <v>57</v>
      </c>
      <c r="B33" s="36">
        <v>0.25</v>
      </c>
      <c r="C33" s="36">
        <v>0.25</v>
      </c>
      <c r="D33" s="11" t="s">
        <v>56</v>
      </c>
    </row>
    <row r="34" spans="1:7" x14ac:dyDescent="0.35">
      <c r="A34" s="5" t="s">
        <v>55</v>
      </c>
      <c r="B34" s="37">
        <f>((B26*B28)+(B27*IF(B28&gt;4,(B28-4),1)))*(1-B31)</f>
        <v>296888.88888888888</v>
      </c>
      <c r="C34" s="37">
        <f>((C26*C28)+(C27*IF(C28&gt;4,(C28-4),1)))*(1-C31)</f>
        <v>296888.88888888888</v>
      </c>
      <c r="D34" s="5" t="s">
        <v>54</v>
      </c>
      <c r="E34" t="s">
        <v>53</v>
      </c>
    </row>
    <row r="35" spans="1:7" x14ac:dyDescent="0.35">
      <c r="A35" s="13" t="s">
        <v>28</v>
      </c>
      <c r="B35" s="14">
        <f>B34/B20</f>
        <v>787.7648793071678</v>
      </c>
      <c r="C35" s="14">
        <f>C34/C20</f>
        <v>805.80529639053805</v>
      </c>
      <c r="D35" s="15" t="s">
        <v>29</v>
      </c>
    </row>
    <row r="36" spans="1:7" x14ac:dyDescent="0.35">
      <c r="A36" s="25" t="s">
        <v>35</v>
      </c>
      <c r="B36" s="36">
        <f>1-B35*10^6/(B10*B6*10^3*B28)</f>
        <v>0.17077381125561286</v>
      </c>
      <c r="C36" s="36">
        <f>1-C35*10^6/(C10*C6*10^3*C28)</f>
        <v>0.15178389853627572</v>
      </c>
      <c r="D36" s="26"/>
    </row>
    <row r="37" spans="1:7" x14ac:dyDescent="0.35">
      <c r="A37" s="30" t="s">
        <v>52</v>
      </c>
    </row>
    <row r="38" spans="1:7" x14ac:dyDescent="0.35">
      <c r="A38" s="30" t="s">
        <v>51</v>
      </c>
    </row>
    <row r="39" spans="1:7" x14ac:dyDescent="0.35">
      <c r="A39" s="34" t="s">
        <v>94</v>
      </c>
    </row>
    <row r="40" spans="1:7" x14ac:dyDescent="0.35">
      <c r="A40" s="30" t="s">
        <v>50</v>
      </c>
    </row>
    <row r="41" spans="1:7" x14ac:dyDescent="0.35">
      <c r="A41" s="30" t="s">
        <v>100</v>
      </c>
      <c r="G41" s="31"/>
    </row>
    <row r="42" spans="1:7" ht="18.5" x14ac:dyDescent="0.35">
      <c r="A42" s="29"/>
    </row>
  </sheetData>
  <sheetProtection sheet="1" objects="1" scenarios="1"/>
  <mergeCells count="4">
    <mergeCell ref="A4:D4"/>
    <mergeCell ref="G25:H25"/>
    <mergeCell ref="I25:J25"/>
    <mergeCell ref="G24:J24"/>
  </mergeCells>
  <dataValidations xWindow="522" yWindow="471" count="6">
    <dataValidation type="whole" allowBlank="1" showInputMessage="1" showErrorMessage="1" error="K must be minimum of 6 and maximum of value in cell above" prompt="K must be minimum of 6 and maximum value of number in cell above" sqref="B15:C15" xr:uid="{00000000-0002-0000-0100-000000000000}">
      <formula1>6</formula1>
      <formula2>B14</formula2>
    </dataValidation>
    <dataValidation type="decimal" operator="lessThanOrEqual" allowBlank="1" showInputMessage="1" showErrorMessage="1" error="The exclusion band is too large for OFDMA channel size" prompt="Minimum OFDMA channel after exclusion bands must be 7.4 MHz when using 25 kHz subcarriers" sqref="C8" xr:uid="{00000000-0002-0000-0100-000001000000}">
      <formula1>C7-6.4</formula1>
    </dataValidation>
    <dataValidation type="decimal" operator="lessThanOrEqual" allowBlank="1" showInputMessage="1" showErrorMessage="1" error="The exclusion band is too large for OFDMA channel size" prompt="Minimum OFDMA channel after exclusion bands must be 11 MHz when using 50 kHz subcarriers" sqref="B8" xr:uid="{00000000-0002-0000-0100-000002000000}">
      <formula1>B7-10</formula1>
    </dataValidation>
    <dataValidation type="decimal" allowBlank="1" showInputMessage="1" showErrorMessage="1" error="Valid OFDMA channel width for 25 kHz subcarriers are 7.4 MHz - 96 MHz" prompt="Valid channel widths are 7.4 MHz - 96 MHz_x000a_(reenter exclusion bands if making changes)" sqref="C7" xr:uid="{00000000-0002-0000-0100-000003000000}">
      <formula1>7.4</formula1>
      <formula2>96</formula2>
    </dataValidation>
    <dataValidation type="decimal" allowBlank="1" showInputMessage="1" showErrorMessage="1" error="Valid OFDMA channel width for 50 kHz subcarriers are 11 MHz - 96 MHz" prompt="Valid channel widths are 11 MHz - 96 MHz_x000a_(reenter exclusion bands if making changes)_x000a_" sqref="B7" xr:uid="{00000000-0002-0000-0100-000004000000}">
      <formula1>11</formula1>
      <formula2>96</formula2>
    </dataValidation>
    <dataValidation type="whole" operator="lessThanOrEqual" showDropDown="1" showInputMessage="1" showErrorMessage="1" prompt="minimum of 1 up to maximum of value above" sqref="B18:C18" xr:uid="{00000000-0002-0000-0100-000005000000}">
      <formula1>B17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522" yWindow="471" count="5">
        <x14:dataValidation type="list" allowBlank="1" showInputMessage="1" showErrorMessage="1" xr:uid="{00000000-0002-0000-0100-000006000000}">
          <x14:formula1>
            <xm:f>'US Valid Options'!$B$18:$B$28</xm:f>
          </x14:formula1>
          <xm:sqref>B28:C28</xm:sqref>
        </x14:dataValidation>
        <x14:dataValidation type="list" allowBlank="1" showInputMessage="1" showErrorMessage="1" prompt="roll-off must be less than cyclic prefix above" xr:uid="{00000000-0002-0000-0100-000007000000}">
          <x14:formula1>
            <xm:f>'US Valid Options'!$B$4:$B$11</xm:f>
          </x14:formula1>
          <xm:sqref>B12:C12</xm:sqref>
        </x14:dataValidation>
        <x14:dataValidation type="list" allowBlank="1" showInputMessage="1" showErrorMessage="1" xr:uid="{00000000-0002-0000-0100-000008000000}">
          <x14:formula1>
            <xm:f>'US Valid Options'!$A$4:$A$14</xm:f>
          </x14:formula1>
          <xm:sqref>B11:C11</xm:sqref>
        </x14:dataValidation>
        <x14:dataValidation type="list" allowBlank="1" showInputMessage="1" showErrorMessage="1" xr:uid="{00000000-0002-0000-0100-000009000000}">
          <x14:formula1>
            <xm:f>'US Valid Options'!$D$4:$D$10</xm:f>
          </x14:formula1>
          <xm:sqref>C21</xm:sqref>
        </x14:dataValidation>
        <x14:dataValidation type="list" allowBlank="1" showInputMessage="1" showErrorMessage="1" xr:uid="{00000000-0002-0000-0100-00000A000000}">
          <x14:formula1>
            <xm:f>'US Valid Options'!$C$4:$C$10</xm:f>
          </x14:formula1>
          <xm:sqref>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workbookViewId="0">
      <selection activeCell="B6" sqref="B6"/>
    </sheetView>
  </sheetViews>
  <sheetFormatPr defaultRowHeight="14.5" x14ac:dyDescent="0.35"/>
  <cols>
    <col min="1" max="1" width="16.453125" bestFit="1" customWidth="1"/>
    <col min="2" max="2" width="12.54296875" bestFit="1" customWidth="1"/>
    <col min="3" max="3" width="14" bestFit="1" customWidth="1"/>
  </cols>
  <sheetData>
    <row r="1" spans="1:3" x14ac:dyDescent="0.35">
      <c r="A1" t="s">
        <v>46</v>
      </c>
    </row>
    <row r="3" spans="1:3" x14ac:dyDescent="0.35">
      <c r="A3" t="s">
        <v>44</v>
      </c>
      <c r="B3" t="s">
        <v>45</v>
      </c>
      <c r="C3" t="s">
        <v>49</v>
      </c>
    </row>
    <row r="4" spans="1:3" x14ac:dyDescent="0.35">
      <c r="A4" s="31">
        <v>192</v>
      </c>
      <c r="B4" s="31">
        <v>64</v>
      </c>
      <c r="C4">
        <v>2</v>
      </c>
    </row>
    <row r="5" spans="1:3" x14ac:dyDescent="0.35">
      <c r="A5" s="31">
        <v>256</v>
      </c>
      <c r="B5" s="32">
        <v>128</v>
      </c>
      <c r="C5">
        <v>4</v>
      </c>
    </row>
    <row r="6" spans="1:3" x14ac:dyDescent="0.35">
      <c r="A6" s="32">
        <v>512</v>
      </c>
      <c r="B6" s="33">
        <v>192</v>
      </c>
      <c r="C6">
        <v>6</v>
      </c>
    </row>
    <row r="7" spans="1:3" x14ac:dyDescent="0.35">
      <c r="A7" s="33">
        <v>768</v>
      </c>
      <c r="B7" s="33">
        <v>256</v>
      </c>
    </row>
    <row r="8" spans="1:3" x14ac:dyDescent="0.35">
      <c r="A8" s="33">
        <v>1024</v>
      </c>
      <c r="B8" s="33"/>
    </row>
    <row r="11" spans="1:3" ht="29" x14ac:dyDescent="0.35">
      <c r="A11" s="17" t="s">
        <v>30</v>
      </c>
      <c r="B11" s="19" t="s">
        <v>31</v>
      </c>
    </row>
    <row r="12" spans="1:3" x14ac:dyDescent="0.35">
      <c r="A12" s="6" t="s">
        <v>5</v>
      </c>
      <c r="B12" s="20">
        <v>1</v>
      </c>
    </row>
    <row r="13" spans="1:3" x14ac:dyDescent="0.35">
      <c r="A13" s="6" t="s">
        <v>48</v>
      </c>
      <c r="B13" s="21">
        <v>2</v>
      </c>
    </row>
    <row r="14" spans="1:3" x14ac:dyDescent="0.35">
      <c r="A14" s="6" t="s">
        <v>47</v>
      </c>
      <c r="B14" s="21">
        <v>3</v>
      </c>
    </row>
    <row r="15" spans="1:3" x14ac:dyDescent="0.35">
      <c r="A15" s="6" t="s">
        <v>7</v>
      </c>
      <c r="B15" s="21">
        <v>5</v>
      </c>
    </row>
    <row r="16" spans="1:3" x14ac:dyDescent="0.35">
      <c r="A16" s="6" t="s">
        <v>6</v>
      </c>
      <c r="B16" s="21">
        <v>4</v>
      </c>
    </row>
    <row r="17" spans="1:2" x14ac:dyDescent="0.35">
      <c r="A17" s="6" t="s">
        <v>10</v>
      </c>
      <c r="B17" s="21">
        <v>6</v>
      </c>
    </row>
    <row r="18" spans="1:2" x14ac:dyDescent="0.35">
      <c r="A18" s="6" t="s">
        <v>8</v>
      </c>
      <c r="B18" s="21">
        <v>7</v>
      </c>
    </row>
    <row r="19" spans="1:2" x14ac:dyDescent="0.35">
      <c r="A19" s="6" t="s">
        <v>12</v>
      </c>
      <c r="B19" s="21">
        <v>8</v>
      </c>
    </row>
    <row r="20" spans="1:2" x14ac:dyDescent="0.35">
      <c r="A20" s="6" t="s">
        <v>14</v>
      </c>
      <c r="B20" s="21">
        <v>9</v>
      </c>
    </row>
    <row r="21" spans="1:2" x14ac:dyDescent="0.35">
      <c r="A21" s="6" t="s">
        <v>16</v>
      </c>
      <c r="B21" s="21">
        <v>10</v>
      </c>
    </row>
    <row r="22" spans="1:2" x14ac:dyDescent="0.35">
      <c r="A22" s="6" t="s">
        <v>18</v>
      </c>
      <c r="B22" s="21">
        <v>11</v>
      </c>
    </row>
    <row r="23" spans="1:2" x14ac:dyDescent="0.35">
      <c r="A23" s="6" t="s">
        <v>19</v>
      </c>
      <c r="B23" s="21">
        <v>12</v>
      </c>
    </row>
    <row r="24" spans="1:2" x14ac:dyDescent="0.35">
      <c r="A24" s="9" t="s">
        <v>22</v>
      </c>
      <c r="B24" s="22">
        <v>13</v>
      </c>
    </row>
    <row r="25" spans="1:2" x14ac:dyDescent="0.35">
      <c r="A25" s="10" t="s">
        <v>24</v>
      </c>
      <c r="B25" s="23">
        <v>14</v>
      </c>
    </row>
    <row r="34" spans="1:2" x14ac:dyDescent="0.35">
      <c r="A34" s="33"/>
      <c r="B34" s="33"/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workbookViewId="0">
      <selection activeCell="D8" sqref="D8"/>
    </sheetView>
  </sheetViews>
  <sheetFormatPr defaultRowHeight="14.5" x14ac:dyDescent="0.35"/>
  <cols>
    <col min="1" max="1" width="17.54296875" style="54" bestFit="1" customWidth="1"/>
    <col min="2" max="2" width="12.54296875" style="54" bestFit="1" customWidth="1"/>
    <col min="3" max="4" width="13.54296875" style="54" bestFit="1" customWidth="1"/>
    <col min="5" max="16384" width="8.7265625" style="54"/>
  </cols>
  <sheetData>
    <row r="1" spans="1:6" x14ac:dyDescent="0.35">
      <c r="A1" s="64" t="s">
        <v>46</v>
      </c>
      <c r="B1" s="64"/>
      <c r="C1" s="64"/>
      <c r="D1" s="64"/>
      <c r="E1" s="64"/>
      <c r="F1" s="64"/>
    </row>
    <row r="2" spans="1:6" x14ac:dyDescent="0.35">
      <c r="A2" s="64"/>
      <c r="B2" s="64"/>
      <c r="C2" s="64"/>
      <c r="D2" s="64"/>
      <c r="E2" s="64"/>
      <c r="F2" s="64"/>
    </row>
    <row r="3" spans="1:6" x14ac:dyDescent="0.35">
      <c r="A3" s="64" t="s">
        <v>44</v>
      </c>
      <c r="B3" s="64" t="s">
        <v>45</v>
      </c>
      <c r="C3" s="64" t="s">
        <v>91</v>
      </c>
      <c r="D3" s="64" t="s">
        <v>90</v>
      </c>
      <c r="E3" s="64" t="s">
        <v>89</v>
      </c>
      <c r="F3" s="64" t="s">
        <v>88</v>
      </c>
    </row>
    <row r="4" spans="1:6" x14ac:dyDescent="0.35">
      <c r="A4" s="65">
        <v>96</v>
      </c>
      <c r="B4" s="65">
        <v>0</v>
      </c>
      <c r="C4" s="64">
        <v>1</v>
      </c>
      <c r="D4" s="64">
        <v>8</v>
      </c>
      <c r="E4" s="64">
        <v>6</v>
      </c>
      <c r="F4" s="64">
        <v>6</v>
      </c>
    </row>
    <row r="5" spans="1:6" x14ac:dyDescent="0.35">
      <c r="A5" s="65">
        <v>128</v>
      </c>
      <c r="B5" s="65">
        <v>32</v>
      </c>
      <c r="C5" s="66">
        <v>2</v>
      </c>
      <c r="D5" s="64">
        <v>9</v>
      </c>
      <c r="E5" s="64">
        <v>18</v>
      </c>
      <c r="F5" s="64">
        <v>9</v>
      </c>
    </row>
    <row r="6" spans="1:6" x14ac:dyDescent="0.35">
      <c r="A6" s="67">
        <v>160</v>
      </c>
      <c r="B6" s="67">
        <v>64</v>
      </c>
      <c r="C6" s="68">
        <v>3</v>
      </c>
      <c r="D6" s="69">
        <v>10</v>
      </c>
      <c r="E6" s="64">
        <v>24</v>
      </c>
      <c r="F6" s="64">
        <v>12</v>
      </c>
    </row>
    <row r="7" spans="1:6" x14ac:dyDescent="0.35">
      <c r="A7" s="70">
        <v>192</v>
      </c>
      <c r="B7" s="70">
        <v>96</v>
      </c>
      <c r="C7" s="69">
        <v>4</v>
      </c>
      <c r="D7" s="69">
        <v>11</v>
      </c>
      <c r="E7" s="64">
        <v>36</v>
      </c>
      <c r="F7" s="64">
        <v>18</v>
      </c>
    </row>
    <row r="8" spans="1:6" x14ac:dyDescent="0.35">
      <c r="A8" s="70">
        <v>224</v>
      </c>
      <c r="B8" s="70">
        <v>128</v>
      </c>
      <c r="C8" s="69">
        <v>5</v>
      </c>
      <c r="D8" s="69">
        <v>12</v>
      </c>
      <c r="E8" s="64"/>
      <c r="F8" s="64"/>
    </row>
    <row r="9" spans="1:6" x14ac:dyDescent="0.35">
      <c r="A9" s="70">
        <v>256</v>
      </c>
      <c r="B9" s="70">
        <v>160</v>
      </c>
      <c r="C9" s="69">
        <v>6</v>
      </c>
      <c r="D9" s="69">
        <v>13</v>
      </c>
      <c r="E9" s="64"/>
      <c r="F9" s="64"/>
    </row>
    <row r="10" spans="1:6" x14ac:dyDescent="0.35">
      <c r="A10" s="70">
        <v>288</v>
      </c>
      <c r="B10" s="70">
        <v>192</v>
      </c>
      <c r="C10" s="69">
        <v>7</v>
      </c>
      <c r="D10" s="69">
        <v>14</v>
      </c>
      <c r="E10" s="64"/>
      <c r="F10" s="64"/>
    </row>
    <row r="11" spans="1:6" x14ac:dyDescent="0.35">
      <c r="A11" s="70">
        <v>320</v>
      </c>
      <c r="B11" s="70">
        <v>224</v>
      </c>
      <c r="C11" s="64"/>
      <c r="D11" s="64"/>
      <c r="E11" s="64"/>
      <c r="F11" s="64"/>
    </row>
    <row r="12" spans="1:6" x14ac:dyDescent="0.35">
      <c r="A12" s="70">
        <v>384</v>
      </c>
      <c r="B12" s="64"/>
      <c r="C12" s="64"/>
      <c r="D12" s="64"/>
      <c r="E12" s="64"/>
      <c r="F12" s="64"/>
    </row>
    <row r="13" spans="1:6" x14ac:dyDescent="0.35">
      <c r="A13" s="70">
        <v>512</v>
      </c>
      <c r="B13" s="65"/>
      <c r="C13" s="64"/>
      <c r="D13" s="64"/>
      <c r="E13" s="64"/>
      <c r="F13" s="64"/>
    </row>
    <row r="14" spans="1:6" x14ac:dyDescent="0.35">
      <c r="A14" s="70">
        <v>640</v>
      </c>
      <c r="B14" s="65"/>
      <c r="C14" s="64"/>
      <c r="D14" s="64"/>
      <c r="E14" s="64"/>
      <c r="F14" s="64"/>
    </row>
    <row r="15" spans="1:6" x14ac:dyDescent="0.35">
      <c r="A15" s="64"/>
      <c r="B15" s="64"/>
      <c r="C15" s="64"/>
      <c r="D15" s="64"/>
      <c r="E15" s="64"/>
      <c r="F15" s="64"/>
    </row>
    <row r="16" spans="1:6" ht="29" x14ac:dyDescent="0.35">
      <c r="A16" s="55" t="s">
        <v>30</v>
      </c>
      <c r="B16" s="56" t="s">
        <v>31</v>
      </c>
      <c r="C16" s="64"/>
      <c r="D16" s="64"/>
      <c r="E16" s="64"/>
      <c r="F16" s="64"/>
    </row>
    <row r="17" spans="1:6" x14ac:dyDescent="0.35">
      <c r="A17" s="57" t="s">
        <v>5</v>
      </c>
      <c r="B17" s="58">
        <v>1</v>
      </c>
      <c r="C17" s="64"/>
      <c r="D17" s="64"/>
      <c r="E17" s="64"/>
      <c r="F17" s="64"/>
    </row>
    <row r="18" spans="1:6" x14ac:dyDescent="0.35">
      <c r="A18" s="57" t="s">
        <v>48</v>
      </c>
      <c r="B18" s="59">
        <v>2</v>
      </c>
      <c r="C18" s="64"/>
      <c r="D18" s="64"/>
      <c r="E18" s="64"/>
      <c r="F18" s="64"/>
    </row>
    <row r="19" spans="1:6" x14ac:dyDescent="0.35">
      <c r="A19" s="57" t="s">
        <v>47</v>
      </c>
      <c r="B19" s="59">
        <v>3</v>
      </c>
      <c r="C19" s="64"/>
      <c r="D19" s="64"/>
      <c r="E19" s="64"/>
      <c r="F19" s="64"/>
    </row>
    <row r="20" spans="1:6" x14ac:dyDescent="0.35">
      <c r="A20" s="57" t="s">
        <v>6</v>
      </c>
      <c r="B20" s="59">
        <v>4</v>
      </c>
      <c r="C20" s="64"/>
      <c r="D20" s="64"/>
      <c r="E20" s="64"/>
      <c r="F20" s="64"/>
    </row>
    <row r="21" spans="1:6" x14ac:dyDescent="0.35">
      <c r="A21" s="57" t="s">
        <v>7</v>
      </c>
      <c r="B21" s="59">
        <v>5</v>
      </c>
      <c r="C21" s="64"/>
      <c r="D21" s="64"/>
      <c r="E21" s="64"/>
      <c r="F21" s="64"/>
    </row>
    <row r="22" spans="1:6" x14ac:dyDescent="0.35">
      <c r="A22" s="57" t="s">
        <v>10</v>
      </c>
      <c r="B22" s="59">
        <v>6</v>
      </c>
      <c r="C22" s="64"/>
      <c r="D22" s="64"/>
      <c r="E22" s="64"/>
      <c r="F22" s="64"/>
    </row>
    <row r="23" spans="1:6" x14ac:dyDescent="0.35">
      <c r="A23" s="57" t="s">
        <v>8</v>
      </c>
      <c r="B23" s="59">
        <v>7</v>
      </c>
      <c r="C23" s="64"/>
      <c r="D23" s="64"/>
      <c r="E23" s="64"/>
      <c r="F23" s="64"/>
    </row>
    <row r="24" spans="1:6" x14ac:dyDescent="0.35">
      <c r="A24" s="57" t="s">
        <v>12</v>
      </c>
      <c r="B24" s="59">
        <v>8</v>
      </c>
      <c r="C24" s="64"/>
      <c r="D24" s="64"/>
      <c r="E24" s="64"/>
      <c r="F24" s="64"/>
    </row>
    <row r="25" spans="1:6" x14ac:dyDescent="0.35">
      <c r="A25" s="57" t="s">
        <v>14</v>
      </c>
      <c r="B25" s="59">
        <v>9</v>
      </c>
      <c r="C25" s="64"/>
      <c r="D25" s="64"/>
      <c r="E25" s="64"/>
      <c r="F25" s="64"/>
    </row>
    <row r="26" spans="1:6" x14ac:dyDescent="0.35">
      <c r="A26" s="57" t="s">
        <v>16</v>
      </c>
      <c r="B26" s="59">
        <v>10</v>
      </c>
      <c r="C26" s="64"/>
      <c r="D26" s="64"/>
      <c r="E26" s="64"/>
      <c r="F26" s="64"/>
    </row>
    <row r="27" spans="1:6" x14ac:dyDescent="0.35">
      <c r="A27" s="57" t="s">
        <v>18</v>
      </c>
      <c r="B27" s="59">
        <v>11</v>
      </c>
      <c r="C27" s="64"/>
      <c r="D27" s="64"/>
      <c r="E27" s="64"/>
      <c r="F27" s="64"/>
    </row>
    <row r="28" spans="1:6" x14ac:dyDescent="0.35">
      <c r="A28" s="60" t="s">
        <v>19</v>
      </c>
      <c r="B28" s="61">
        <v>12</v>
      </c>
      <c r="C28" s="64"/>
      <c r="D28" s="64"/>
      <c r="E28" s="64"/>
      <c r="F28" s="64"/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Downstream Speed Estimate</vt:lpstr>
      <vt:lpstr>Upstream Speed Estimate</vt:lpstr>
      <vt:lpstr>DS Valid Options</vt:lpstr>
      <vt:lpstr>US Valid Options</vt:lpstr>
      <vt:lpstr>'Upstream Speed Estimate'!Cyclic_Prefix_values</vt:lpstr>
      <vt:lpstr>'US Valid Options'!Cyclic_Prefix_values</vt:lpstr>
      <vt:lpstr>Cyclic_Prefix_values</vt:lpstr>
      <vt:lpstr>Roll_off_values</vt:lpstr>
    </vt:vector>
  </TitlesOfParts>
  <Company>Cisco Systems,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jasmille</dc:creator>
  <cp:lastModifiedBy>Jason Miller (jasmille)</cp:lastModifiedBy>
  <dcterms:created xsi:type="dcterms:W3CDTF">2016-03-03T17:18:26Z</dcterms:created>
  <dcterms:modified xsi:type="dcterms:W3CDTF">2021-02-11T22:29:36Z</dcterms:modified>
</cp:coreProperties>
</file>